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5265" activeTab="0"/>
  </bookViews>
  <sheets>
    <sheet name="Compute peak flow" sheetId="1" r:id="rId1"/>
  </sheets>
  <definedNames>
    <definedName name="_xlnm.Print_Area" localSheetId="0">'Compute peak flow'!$A$1:$P$42</definedName>
  </definedNames>
  <calcPr fullCalcOnLoad="1"/>
</workbook>
</file>

<file path=xl/sharedStrings.xml><?xml version="1.0" encoding="utf-8"?>
<sst xmlns="http://schemas.openxmlformats.org/spreadsheetml/2006/main" count="132" uniqueCount="85">
  <si>
    <t>Ia / P</t>
  </si>
  <si>
    <t>Q</t>
  </si>
  <si>
    <t>P</t>
  </si>
  <si>
    <t xml:space="preserve"> </t>
  </si>
  <si>
    <t>qu</t>
  </si>
  <si>
    <t>A</t>
  </si>
  <si>
    <t>C0</t>
  </si>
  <si>
    <t>C1</t>
  </si>
  <si>
    <t>C2</t>
  </si>
  <si>
    <t>(hours)</t>
  </si>
  <si>
    <t>(inches)</t>
  </si>
  <si>
    <t>Graphical</t>
  </si>
  <si>
    <t>A =</t>
  </si>
  <si>
    <t>CN =</t>
  </si>
  <si>
    <t>S =</t>
  </si>
  <si>
    <t>Ia =</t>
  </si>
  <si>
    <t>Tc =</t>
  </si>
  <si>
    <t>(acres)</t>
  </si>
  <si>
    <t>Runoff</t>
  </si>
  <si>
    <t>Volume</t>
  </si>
  <si>
    <t>(cfs)</t>
  </si>
  <si>
    <t>(sq. mi.)</t>
  </si>
  <si>
    <t>(ac.-ft.)</t>
  </si>
  <si>
    <t>Vs / Vr</t>
  </si>
  <si>
    <t>Qo / Qi</t>
  </si>
  <si>
    <t>Storage</t>
  </si>
  <si>
    <t>(cu. ft.)</t>
  </si>
  <si>
    <t>POSTDEVELOPED</t>
  </si>
  <si>
    <t>-----&gt;</t>
  </si>
  <si>
    <t>There are only 6 inputs (pre and post A, CN, Tc).</t>
  </si>
  <si>
    <t>**</t>
  </si>
  <si>
    <t>(Formulas taken from Chapter 2, Chapter 4, Chapter 6 and Appendix F.)</t>
  </si>
  <si>
    <t>Range</t>
  </si>
  <si>
    <t>**     Range of values for Ia / P (choices are 1 through 7) when compared to the listed values.  Range 1 means Ia / P is less than 0.10.</t>
  </si>
  <si>
    <t>Project:</t>
  </si>
  <si>
    <t>By:</t>
  </si>
  <si>
    <t>Date:</t>
  </si>
  <si>
    <t>Knoxville BMP Manual</t>
  </si>
  <si>
    <t>Return</t>
  </si>
  <si>
    <t>Storm</t>
  </si>
  <si>
    <t>1-year</t>
  </si>
  <si>
    <t>2-year</t>
  </si>
  <si>
    <t>5-year</t>
  </si>
  <si>
    <t>10-year</t>
  </si>
  <si>
    <t>25-year</t>
  </si>
  <si>
    <t>50-year</t>
  </si>
  <si>
    <t>100-year</t>
  </si>
  <si>
    <t>PREDEVELOPED</t>
  </si>
  <si>
    <t>***   The values of C0, C1 and C2 are constrained to be chosen from the interval of Ia / P ranging from 0.10 to 0.50 (see TR-55 publication page 4-1).</t>
  </si>
  <si>
    <t>S  =  (1000/CN)  -  10</t>
  </si>
  <si>
    <t>Ia  =  0.2 * S</t>
  </si>
  <si>
    <t>Qo  =  qu  *  A  *  Q</t>
  </si>
  <si>
    <t>Qi   =  qu  *  A  *  Q</t>
  </si>
  <si>
    <t>Vr  =  Q  *  A  /  12</t>
  </si>
  <si>
    <t>A few formulas:</t>
  </si>
  <si>
    <t xml:space="preserve"> cu.ft.</t>
  </si>
  <si>
    <t xml:space="preserve"> cfs</t>
  </si>
  <si>
    <t>These values are used for</t>
  </si>
  <si>
    <t>computing "qu" by equation</t>
  </si>
  <si>
    <t xml:space="preserve">         1/2" volume  =</t>
  </si>
  <si>
    <t xml:space="preserve">           FF volume  =</t>
  </si>
  <si>
    <t xml:space="preserve"> Avg Qf =</t>
  </si>
  <si>
    <t xml:space="preserve"> inches rain</t>
  </si>
  <si>
    <r>
      <t xml:space="preserve">#     There is a potential problem with size estimate for 1-year allowable outflow rate </t>
    </r>
    <r>
      <rPr>
        <b/>
        <sz val="9"/>
        <rFont val="Arial"/>
        <family val="2"/>
      </rPr>
      <t>(Qo)</t>
    </r>
    <r>
      <rPr>
        <sz val="9"/>
        <rFont val="Arial"/>
        <family val="2"/>
      </rPr>
      <t xml:space="preserve"> and the rate for first flush volume to drawdown over 24 hours </t>
    </r>
    <r>
      <rPr>
        <b/>
        <sz val="9"/>
        <rFont val="Arial"/>
        <family val="2"/>
      </rPr>
      <t>(Avg Qf)</t>
    </r>
    <r>
      <rPr>
        <sz val="9"/>
        <rFont val="Arial"/>
        <family val="2"/>
      </rPr>
      <t>.</t>
    </r>
  </si>
  <si>
    <t>|</t>
  </si>
  <si>
    <t xml:space="preserve">  Q to produce FFV =</t>
  </si>
  <si>
    <t>P to produce FFV =</t>
  </si>
  <si>
    <t xml:space="preserve"> inches runoff</t>
  </si>
  <si>
    <t>in Appendix F of TR-55.</t>
  </si>
  <si>
    <t>The formulas automatically</t>
  </si>
  <si>
    <t>interpolate for C0, C1 &amp; C2.</t>
  </si>
  <si>
    <t>Example project for BMP Manual</t>
  </si>
  <si>
    <t>Tennessee Engineer, PE</t>
  </si>
  <si>
    <t>Peak Qi</t>
  </si>
  <si>
    <t>Peak Qo</t>
  </si>
  <si>
    <t xml:space="preserve">  Ia / P :</t>
  </si>
  <si>
    <t>C0 :</t>
  </si>
  <si>
    <t>C1 :</t>
  </si>
  <si>
    <t>C2 :</t>
  </si>
  <si>
    <r>
      <t xml:space="preserve"> Range  </t>
    </r>
    <r>
      <rPr>
        <b/>
        <i/>
        <u val="single"/>
        <sz val="10"/>
        <rFont val="Arial"/>
        <family val="2"/>
      </rPr>
      <t xml:space="preserve">:  1               2                 3                4                 5                 6                7  </t>
    </r>
  </si>
  <si>
    <t>Worksheet #2  (Initial Detention Volume Estimate)</t>
  </si>
  <si>
    <t>Graphical TR-55 method comes from NRCS TR-55 Chapter 4.</t>
  </si>
  <si>
    <t>Detention basin storage estimate from NRCS TR-55 Chapter 6.</t>
  </si>
  <si>
    <t>May 15, 2003</t>
  </si>
  <si>
    <t>May 2003      File:   ST11-EST.xls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</si>
</sst>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0.000000"/>
    <numFmt numFmtId="168" formatCode="0.0000"/>
    <numFmt numFmtId="169" formatCode="0.0000000"/>
    <numFmt numFmtId="170" formatCode="00000"/>
    <numFmt numFmtId="171" formatCode="0.00000000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color indexed="48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u val="doub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thin"/>
      <top style="mediumDashed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mediumDashed"/>
      <right style="thin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center"/>
      <protection/>
    </xf>
    <xf numFmtId="168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>
      <alignment/>
    </xf>
    <xf numFmtId="1" fontId="8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1" fontId="0" fillId="0" borderId="5" xfId="0" applyNumberFormat="1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1" fontId="0" fillId="0" borderId="7" xfId="0" applyNumberFormat="1" applyBorder="1" applyAlignment="1" applyProtection="1">
      <alignment horizontal="center"/>
      <protection/>
    </xf>
    <xf numFmtId="165" fontId="0" fillId="0" borderId="8" xfId="0" applyNumberFormat="1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165" fontId="0" fillId="0" borderId="6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1" fillId="0" borderId="13" xfId="0" applyFont="1" applyBorder="1" applyAlignment="1" applyProtection="1">
      <alignment horizontal="left" indent="1"/>
      <protection/>
    </xf>
    <xf numFmtId="0" fontId="1" fillId="0" borderId="14" xfId="0" applyFont="1" applyBorder="1" applyAlignment="1">
      <alignment/>
    </xf>
    <xf numFmtId="0" fontId="1" fillId="0" borderId="15" xfId="0" applyFont="1" applyBorder="1" applyAlignment="1" applyProtection="1">
      <alignment/>
      <protection/>
    </xf>
    <xf numFmtId="2" fontId="1" fillId="0" borderId="16" xfId="0" applyNumberFormat="1" applyFont="1" applyBorder="1" applyAlignment="1" applyProtection="1">
      <alignment horizontal="left" inden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 indent="1"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65" fontId="1" fillId="0" borderId="19" xfId="0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 indent="1"/>
      <protection/>
    </xf>
    <xf numFmtId="1" fontId="8" fillId="0" borderId="11" xfId="0" applyNumberFormat="1" applyFont="1" applyBorder="1" applyAlignment="1" applyProtection="1">
      <alignment/>
      <protection/>
    </xf>
    <xf numFmtId="0" fontId="11" fillId="0" borderId="24" xfId="0" applyFont="1" applyBorder="1" applyAlignment="1" applyProtection="1">
      <alignment horizontal="left" indent="2"/>
      <protection locked="0"/>
    </xf>
    <xf numFmtId="0" fontId="11" fillId="0" borderId="25" xfId="0" applyFont="1" applyBorder="1" applyAlignment="1">
      <alignment horizontal="left" indent="2"/>
    </xf>
    <xf numFmtId="0" fontId="11" fillId="0" borderId="26" xfId="0" applyFont="1" applyBorder="1" applyAlignment="1">
      <alignment horizontal="left" indent="2"/>
    </xf>
    <xf numFmtId="49" fontId="11" fillId="0" borderId="24" xfId="0" applyNumberFormat="1" applyFont="1" applyBorder="1" applyAlignment="1" applyProtection="1">
      <alignment horizontal="left" indent="2"/>
      <protection locked="0"/>
    </xf>
    <xf numFmtId="2" fontId="2" fillId="0" borderId="24" xfId="0" applyNumberFormat="1" applyFont="1" applyBorder="1" applyAlignment="1" applyProtection="1">
      <alignment horizontal="left" indent="2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="75" zoomScaleNormal="75" workbookViewId="0" topLeftCell="A1">
      <selection activeCell="M5" sqref="M5:O5"/>
    </sheetView>
  </sheetViews>
  <sheetFormatPr defaultColWidth="9.140625" defaultRowHeight="12.75"/>
  <cols>
    <col min="1" max="1" width="7.7109375" style="0" customWidth="1"/>
    <col min="2" max="3" width="8.28125" style="0" customWidth="1"/>
    <col min="4" max="4" width="6.7109375" style="0" customWidth="1"/>
    <col min="5" max="8" width="8.28125" style="0" customWidth="1"/>
    <col min="9" max="11" width="9.57421875" style="0" customWidth="1"/>
    <col min="12" max="12" width="8.7109375" style="0" customWidth="1"/>
    <col min="13" max="13" width="10.7109375" style="0" customWidth="1"/>
    <col min="14" max="14" width="9.28125" style="0" customWidth="1"/>
    <col min="15" max="15" width="8.7109375" style="0" customWidth="1"/>
    <col min="16" max="16" width="5.140625" style="0" customWidth="1"/>
  </cols>
  <sheetData>
    <row r="2" spans="1:16" ht="18">
      <c r="A2" s="24" t="s">
        <v>47</v>
      </c>
      <c r="B2" s="6"/>
      <c r="C2" s="6"/>
      <c r="D2" s="6"/>
      <c r="E2" s="7" t="s">
        <v>80</v>
      </c>
      <c r="F2" s="6"/>
      <c r="G2" s="6"/>
      <c r="H2" s="6"/>
      <c r="I2" s="6"/>
      <c r="J2" s="6"/>
      <c r="K2" s="6"/>
      <c r="L2" s="6"/>
      <c r="M2" s="20" t="s">
        <v>37</v>
      </c>
      <c r="N2" s="21"/>
      <c r="O2" s="6"/>
      <c r="P2" s="6"/>
    </row>
    <row r="3" spans="1:16" ht="16.5" thickBot="1">
      <c r="A3" s="6"/>
      <c r="B3" s="6" t="s">
        <v>3</v>
      </c>
      <c r="C3" s="6"/>
      <c r="D3" s="6"/>
      <c r="E3" s="8" t="s">
        <v>81</v>
      </c>
      <c r="F3" s="6"/>
      <c r="G3" s="6"/>
      <c r="H3" s="6"/>
      <c r="I3" s="6"/>
      <c r="J3" s="6"/>
      <c r="K3" s="6"/>
      <c r="L3" s="6"/>
      <c r="M3" s="22" t="s">
        <v>84</v>
      </c>
      <c r="N3" s="21"/>
      <c r="O3" s="6"/>
      <c r="P3" s="6"/>
    </row>
    <row r="4" spans="1:16" ht="16.5" thickBot="1">
      <c r="A4" s="28" t="s">
        <v>12</v>
      </c>
      <c r="B4" s="5">
        <v>1.5</v>
      </c>
      <c r="C4" s="6" t="s">
        <v>17</v>
      </c>
      <c r="D4" s="6"/>
      <c r="E4" s="8" t="s">
        <v>82</v>
      </c>
      <c r="F4" s="6"/>
      <c r="G4" s="6"/>
      <c r="H4" s="6"/>
      <c r="I4" s="6"/>
      <c r="J4" s="6"/>
      <c r="K4" s="6"/>
      <c r="L4" s="6"/>
      <c r="M4" s="26" t="s">
        <v>3</v>
      </c>
      <c r="N4" s="6"/>
      <c r="O4" s="6"/>
      <c r="P4" s="6"/>
    </row>
    <row r="5" spans="1:16" ht="13.5" thickBot="1">
      <c r="A5" s="28" t="s">
        <v>13</v>
      </c>
      <c r="B5" s="5">
        <v>75</v>
      </c>
      <c r="C5" s="6"/>
      <c r="D5" s="6"/>
      <c r="E5" s="10" t="s">
        <v>28</v>
      </c>
      <c r="F5" s="8" t="s">
        <v>29</v>
      </c>
      <c r="G5" s="6"/>
      <c r="H5" s="6"/>
      <c r="I5" s="6"/>
      <c r="J5" s="6"/>
      <c r="K5" s="6"/>
      <c r="L5" s="14" t="s">
        <v>35</v>
      </c>
      <c r="M5" s="82" t="s">
        <v>72</v>
      </c>
      <c r="N5" s="83"/>
      <c r="O5" s="84"/>
      <c r="P5" s="6"/>
    </row>
    <row r="6" spans="1:16" ht="13.5" thickBot="1">
      <c r="A6" s="28" t="s">
        <v>16</v>
      </c>
      <c r="B6" s="5">
        <v>0.4</v>
      </c>
      <c r="C6" s="6" t="s">
        <v>9</v>
      </c>
      <c r="D6" s="6"/>
      <c r="E6" s="8" t="s">
        <v>31</v>
      </c>
      <c r="F6" s="6"/>
      <c r="G6" s="6"/>
      <c r="H6" s="6"/>
      <c r="I6" s="6"/>
      <c r="J6" s="6"/>
      <c r="K6" s="6"/>
      <c r="L6" s="14" t="s">
        <v>36</v>
      </c>
      <c r="M6" s="85" t="s">
        <v>83</v>
      </c>
      <c r="N6" s="83"/>
      <c r="O6" s="84"/>
      <c r="P6" s="6"/>
    </row>
    <row r="7" spans="1:16" ht="13.5" thickBot="1">
      <c r="A7" s="9" t="s">
        <v>14</v>
      </c>
      <c r="B7" s="11">
        <f>1000/B5-10</f>
        <v>3.333333333333334</v>
      </c>
      <c r="C7" s="6" t="s">
        <v>10</v>
      </c>
      <c r="D7" s="6"/>
      <c r="E7" s="9"/>
      <c r="F7" s="12"/>
      <c r="G7" s="6"/>
      <c r="H7" s="6"/>
      <c r="I7" s="6"/>
      <c r="J7" s="6"/>
      <c r="K7" s="6"/>
      <c r="L7" s="6"/>
      <c r="M7" s="6" t="s">
        <v>3</v>
      </c>
      <c r="N7" s="6"/>
      <c r="O7" s="6"/>
      <c r="P7" s="6"/>
    </row>
    <row r="8" spans="1:16" ht="13.5" thickBot="1">
      <c r="A8" s="9" t="s">
        <v>15</v>
      </c>
      <c r="B8" s="11">
        <f>+B7*0.2</f>
        <v>0.6666666666666669</v>
      </c>
      <c r="C8" s="6" t="s">
        <v>10</v>
      </c>
      <c r="D8" s="6"/>
      <c r="E8" s="13" t="s">
        <v>34</v>
      </c>
      <c r="F8" s="86" t="s">
        <v>71</v>
      </c>
      <c r="G8" s="87"/>
      <c r="H8" s="87"/>
      <c r="I8" s="87"/>
      <c r="J8" s="87"/>
      <c r="K8" s="87"/>
      <c r="L8" s="87"/>
      <c r="M8" s="87"/>
      <c r="N8" s="87"/>
      <c r="O8" s="88"/>
      <c r="P8" s="6"/>
    </row>
    <row r="9" spans="1:16" ht="9.75" customHeight="1">
      <c r="A9" s="9"/>
      <c r="B9" s="11"/>
      <c r="C9" s="6"/>
      <c r="D9" s="6"/>
      <c r="E9" s="13"/>
      <c r="F9" s="23"/>
      <c r="G9" s="21"/>
      <c r="H9" s="21"/>
      <c r="I9" s="21"/>
      <c r="J9" s="21"/>
      <c r="K9" s="21"/>
      <c r="L9" s="21"/>
      <c r="M9" s="21"/>
      <c r="N9" s="21"/>
      <c r="O9" s="6"/>
      <c r="P9" s="6"/>
    </row>
    <row r="10" spans="1:16" ht="12.75">
      <c r="A10" s="25" t="s">
        <v>2</v>
      </c>
      <c r="B10" s="14" t="s">
        <v>0</v>
      </c>
      <c r="C10" s="14" t="s">
        <v>1</v>
      </c>
      <c r="D10" s="44" t="s">
        <v>32</v>
      </c>
      <c r="E10" s="45" t="s">
        <v>6</v>
      </c>
      <c r="F10" s="45" t="s">
        <v>7</v>
      </c>
      <c r="G10" s="46" t="s">
        <v>8</v>
      </c>
      <c r="H10" s="46" t="s">
        <v>4</v>
      </c>
      <c r="I10" s="14" t="s">
        <v>5</v>
      </c>
      <c r="J10" s="25" t="s">
        <v>11</v>
      </c>
      <c r="K10" s="25" t="s">
        <v>38</v>
      </c>
      <c r="L10" s="6"/>
      <c r="M10" s="27" t="s">
        <v>54</v>
      </c>
      <c r="N10" s="6"/>
      <c r="O10" s="6"/>
      <c r="P10" s="6"/>
    </row>
    <row r="11" spans="1:16" ht="12.75">
      <c r="A11" s="14" t="s">
        <v>10</v>
      </c>
      <c r="B11" s="14"/>
      <c r="C11" s="14" t="s">
        <v>10</v>
      </c>
      <c r="D11" s="47" t="s">
        <v>3</v>
      </c>
      <c r="E11" s="42"/>
      <c r="F11" s="42"/>
      <c r="G11" s="48"/>
      <c r="H11" s="48"/>
      <c r="I11" s="14" t="s">
        <v>21</v>
      </c>
      <c r="J11" s="25" t="s">
        <v>74</v>
      </c>
      <c r="K11" s="25" t="s">
        <v>39</v>
      </c>
      <c r="L11" s="6"/>
      <c r="M11" s="8" t="s">
        <v>49</v>
      </c>
      <c r="N11" s="6"/>
      <c r="O11" s="6"/>
      <c r="P11" s="6"/>
    </row>
    <row r="12" spans="1:16" ht="12.75">
      <c r="A12" s="14"/>
      <c r="B12" s="14"/>
      <c r="C12" s="14"/>
      <c r="D12" s="47" t="s">
        <v>30</v>
      </c>
      <c r="E12" s="21"/>
      <c r="F12" s="21"/>
      <c r="G12" s="54"/>
      <c r="H12" s="48"/>
      <c r="I12" s="14"/>
      <c r="J12" s="25" t="s">
        <v>20</v>
      </c>
      <c r="K12" s="6"/>
      <c r="L12" s="6"/>
      <c r="M12" s="8" t="s">
        <v>50</v>
      </c>
      <c r="N12" s="6"/>
      <c r="O12" s="6"/>
      <c r="P12" s="6"/>
    </row>
    <row r="13" spans="1:16" ht="12.75">
      <c r="A13" s="14">
        <v>2.5</v>
      </c>
      <c r="B13" s="11">
        <f aca="true" t="shared" si="0" ref="B13:B19">+$B$8/A13</f>
        <v>0.2666666666666667</v>
      </c>
      <c r="C13" s="11">
        <f aca="true" t="shared" si="1" ref="C13:C19">+(A13-0.2*$B$7)^2/(A13+0.8*$B$7)</f>
        <v>0.6505376344086018</v>
      </c>
      <c r="D13" s="49">
        <f>IF(B13&lt;0.1,1,IF(B13&lt;0.3,2,IF(B13&lt;0.35,3,IF(B13&lt;0.4,4,IF(B13&lt;0.45,5,IF(B13&lt;0.5,6,7))))))</f>
        <v>2</v>
      </c>
      <c r="E13" s="43">
        <f aca="true" t="shared" si="2" ref="E13:E19">IF(D13=1,I$24,IF(D13=2,J$24+(I$24-J$24)*(0.3-B13)/0.2,IF(D13=3,K$24+(J$24-K$24)*(0.35-B13)/0.05,IF(D13=4,L$24+(K$24-L$24)*(0.4-B13)/0.05,IF(D13=5,M$24+(L$24-M$24)*(0.45-B13)/0.05,IF(D13=6,N$24+(M$24-N$24)*(0.5-B13)/0.05,IF(D13=7,N$24,-999)))))))</f>
        <v>2.4799716666666667</v>
      </c>
      <c r="F13" s="43">
        <f aca="true" t="shared" si="3" ref="F13:F19">IF(D13=1,I$25,IF(D13=2,J$25+(I$25-J$25)*(0.3-B13)/0.2,IF(D13=3,K$25+(J$25-K$25)*(0.35-B13)/0.05,IF(D13=4,L$25+(K$25-L$25)*(0.4-B13)/0.05,IF(D13=5,M$25+(L$25-M$25)*(0.45-B13)/0.05,IF(D13=6,N$25+(M$25-N$25)*(0.5-B13)/0.05,IF(D13=7,N$25,-999)))))))</f>
        <v>-0.6213283333333333</v>
      </c>
      <c r="G13" s="55">
        <f aca="true" t="shared" si="4" ref="G13:G19">IF(D13=1,I$26,IF(D13=2,J$26+(I$26-J$26)*(0.3-B13)/0.2,IF(D13=3,K$26+(J$26-K$26)*(0.35-B13)/0.05,IF(D13=4,L$26+(K$26-L$26)*(0.4-B13)/0.05,IF(D13=5,M$26+(L$26-M$26)*(0.45-B13)/0.05,IF(D13=6,N$26+(M$26-N$26)*(0.5-B13)/0.05,IF(D13=7,N$26,-999)))))))</f>
        <v>-0.12447999999999998</v>
      </c>
      <c r="H13" s="50">
        <f>10^(E13+F13*LOG($B$6)+G13*(LOG($B$6)*LOG($B$6)))</f>
        <v>509.93037572907434</v>
      </c>
      <c r="I13" s="14">
        <f>+B4/640</f>
        <v>0.00234375</v>
      </c>
      <c r="J13" s="29">
        <f aca="true" t="shared" si="5" ref="J13:J19">+C13*H13*I13</f>
        <v>0.7774896101715973</v>
      </c>
      <c r="K13" s="25" t="s">
        <v>40</v>
      </c>
      <c r="L13" s="14"/>
      <c r="M13" s="8" t="s">
        <v>51</v>
      </c>
      <c r="N13" s="6"/>
      <c r="O13" s="6"/>
      <c r="P13" s="6"/>
    </row>
    <row r="14" spans="1:16" ht="12.75">
      <c r="A14" s="14">
        <v>3.3</v>
      </c>
      <c r="B14" s="11">
        <f t="shared" si="0"/>
        <v>0.2020202020202021</v>
      </c>
      <c r="C14" s="11">
        <f t="shared" si="1"/>
        <v>1.1621973929236495</v>
      </c>
      <c r="D14" s="49">
        <f aca="true" t="shared" si="6" ref="D14:D19">IF(B14&lt;0.1,1,IF(B14&lt;0.3,2,IF(B14&lt;0.35,3,IF(B14&lt;0.4,4,IF(B14&lt;0.45,5,IF(B14&lt;0.5,6,7))))))</f>
        <v>2</v>
      </c>
      <c r="E14" s="43">
        <f t="shared" si="2"/>
        <v>2.5083870202020204</v>
      </c>
      <c r="F14" s="43">
        <f t="shared" si="3"/>
        <v>-0.6189202525252525</v>
      </c>
      <c r="G14" s="55">
        <f t="shared" si="4"/>
        <v>-0.13982060606060603</v>
      </c>
      <c r="H14" s="50">
        <f aca="true" t="shared" si="7" ref="H14:H19">10^(E14+F14*LOG($B$6)+G14*(LOG($B$6)*LOG($B$6)))</f>
        <v>540.180228130301</v>
      </c>
      <c r="I14" s="14">
        <f aca="true" t="shared" si="8" ref="I14:I19">+I13</f>
        <v>0.00234375</v>
      </c>
      <c r="J14" s="29">
        <f t="shared" si="5"/>
        <v>1.4713969988482922</v>
      </c>
      <c r="K14" s="25" t="s">
        <v>41</v>
      </c>
      <c r="L14" s="14"/>
      <c r="M14" s="8" t="s">
        <v>52</v>
      </c>
      <c r="N14" s="6"/>
      <c r="O14" s="6"/>
      <c r="P14" s="6"/>
    </row>
    <row r="15" spans="1:16" ht="12.75">
      <c r="A15" s="14">
        <v>4.1</v>
      </c>
      <c r="B15" s="11">
        <f t="shared" si="0"/>
        <v>0.16260162601626021</v>
      </c>
      <c r="C15" s="11">
        <f t="shared" si="1"/>
        <v>1.7420361247947447</v>
      </c>
      <c r="D15" s="49">
        <f t="shared" si="6"/>
        <v>2</v>
      </c>
      <c r="E15" s="43">
        <f t="shared" si="2"/>
        <v>2.525713455284553</v>
      </c>
      <c r="F15" s="43">
        <f t="shared" si="3"/>
        <v>-0.6174519105691056</v>
      </c>
      <c r="G15" s="55">
        <f t="shared" si="4"/>
        <v>-0.14917463414634147</v>
      </c>
      <c r="H15" s="50">
        <f t="shared" si="7"/>
        <v>559.4992880018431</v>
      </c>
      <c r="I15" s="14">
        <f t="shared" si="8"/>
        <v>0.00234375</v>
      </c>
      <c r="J15" s="29">
        <f t="shared" si="5"/>
        <v>2.2843780581941</v>
      </c>
      <c r="K15" s="25" t="s">
        <v>42</v>
      </c>
      <c r="L15" s="14"/>
      <c r="M15" s="8" t="s">
        <v>53</v>
      </c>
      <c r="N15" s="6"/>
      <c r="O15" s="6"/>
      <c r="P15" s="6"/>
    </row>
    <row r="16" spans="1:11" ht="12.75">
      <c r="A16" s="14">
        <v>4.8</v>
      </c>
      <c r="B16" s="11">
        <f t="shared" si="0"/>
        <v>0.13888888888888892</v>
      </c>
      <c r="C16" s="11">
        <f t="shared" si="1"/>
        <v>2.2880952380952375</v>
      </c>
      <c r="D16" s="49">
        <f t="shared" si="6"/>
        <v>2</v>
      </c>
      <c r="E16" s="43">
        <f t="shared" si="2"/>
        <v>2.536136388888889</v>
      </c>
      <c r="F16" s="43">
        <f t="shared" si="3"/>
        <v>-0.616568611111111</v>
      </c>
      <c r="G16" s="55">
        <f t="shared" si="4"/>
        <v>-0.15480166666666667</v>
      </c>
      <c r="H16" s="50">
        <f t="shared" si="7"/>
        <v>571.4521826539923</v>
      </c>
      <c r="I16" s="14">
        <f t="shared" si="8"/>
        <v>0.00234375</v>
      </c>
      <c r="J16" s="29">
        <f t="shared" si="5"/>
        <v>3.064539885772804</v>
      </c>
      <c r="K16" s="25" t="s">
        <v>43</v>
      </c>
    </row>
    <row r="17" spans="1:16" ht="13.5" thickBot="1">
      <c r="A17" s="14">
        <v>5.5</v>
      </c>
      <c r="B17" s="11">
        <f t="shared" si="0"/>
        <v>0.12121212121212124</v>
      </c>
      <c r="C17" s="11">
        <f t="shared" si="1"/>
        <v>2.860544217687074</v>
      </c>
      <c r="D17" s="49">
        <f t="shared" si="6"/>
        <v>2</v>
      </c>
      <c r="E17" s="43">
        <f t="shared" si="2"/>
        <v>2.5439062121212124</v>
      </c>
      <c r="F17" s="43">
        <f t="shared" si="3"/>
        <v>-0.6159101515151515</v>
      </c>
      <c r="G17" s="55">
        <f t="shared" si="4"/>
        <v>-0.15899636363636363</v>
      </c>
      <c r="H17" s="50">
        <f t="shared" si="7"/>
        <v>580.5283525133567</v>
      </c>
      <c r="I17" s="14">
        <f t="shared" si="8"/>
        <v>0.00234375</v>
      </c>
      <c r="J17" s="29">
        <f t="shared" si="5"/>
        <v>3.8920945827784825</v>
      </c>
      <c r="K17" s="25" t="s">
        <v>44</v>
      </c>
      <c r="L17" s="33" t="s">
        <v>59</v>
      </c>
      <c r="M17" s="33"/>
      <c r="N17" s="41">
        <f>B23*43560/24</f>
        <v>2722.5</v>
      </c>
      <c r="O17" s="33" t="s">
        <v>55</v>
      </c>
      <c r="P17" s="8"/>
    </row>
    <row r="18" spans="1:16" ht="13.5" thickBot="1">
      <c r="A18" s="14">
        <v>6.1</v>
      </c>
      <c r="B18" s="11">
        <f t="shared" si="0"/>
        <v>0.10928961748633884</v>
      </c>
      <c r="C18" s="11">
        <f t="shared" si="1"/>
        <v>3.3674271229404296</v>
      </c>
      <c r="D18" s="49">
        <f t="shared" si="6"/>
        <v>2</v>
      </c>
      <c r="E18" s="43">
        <f t="shared" si="2"/>
        <v>2.5491467486338797</v>
      </c>
      <c r="F18" s="43">
        <f t="shared" si="3"/>
        <v>-0.6154660382513661</v>
      </c>
      <c r="G18" s="55">
        <f t="shared" si="4"/>
        <v>-0.16182557377049178</v>
      </c>
      <c r="H18" s="50">
        <f t="shared" si="7"/>
        <v>586.7312476566791</v>
      </c>
      <c r="I18" s="14">
        <f t="shared" si="8"/>
        <v>0.00234375</v>
      </c>
      <c r="J18" s="29">
        <f t="shared" si="5"/>
        <v>4.630721993521358</v>
      </c>
      <c r="K18" s="25" t="s">
        <v>45</v>
      </c>
      <c r="L18" s="57" t="s">
        <v>60</v>
      </c>
      <c r="M18" s="58"/>
      <c r="N18" s="81">
        <f>IF(B23&gt;2.4793,B23*43560/24,4500)</f>
        <v>4500</v>
      </c>
      <c r="O18" s="59" t="s">
        <v>55</v>
      </c>
      <c r="P18" s="34" t="str">
        <f>+P32</f>
        <v>#</v>
      </c>
    </row>
    <row r="19" spans="1:16" ht="12.75">
      <c r="A19" s="14">
        <v>6.5</v>
      </c>
      <c r="B19" s="11">
        <f t="shared" si="0"/>
        <v>0.10256410256410259</v>
      </c>
      <c r="C19" s="11">
        <f t="shared" si="1"/>
        <v>3.712121212121211</v>
      </c>
      <c r="D19" s="51">
        <f t="shared" si="6"/>
        <v>2</v>
      </c>
      <c r="E19" s="52">
        <f t="shared" si="2"/>
        <v>2.5521029487179487</v>
      </c>
      <c r="F19" s="52">
        <f t="shared" si="3"/>
        <v>-0.6152155128205128</v>
      </c>
      <c r="G19" s="56">
        <f t="shared" si="4"/>
        <v>-0.16342153846153845</v>
      </c>
      <c r="H19" s="53">
        <f t="shared" si="7"/>
        <v>590.2595102382143</v>
      </c>
      <c r="I19" s="14">
        <f t="shared" si="8"/>
        <v>0.00234375</v>
      </c>
      <c r="J19" s="29">
        <f t="shared" si="5"/>
        <v>5.135425426433325</v>
      </c>
      <c r="K19" s="25" t="s">
        <v>46</v>
      </c>
      <c r="L19" s="14"/>
      <c r="M19" s="60" t="s">
        <v>65</v>
      </c>
      <c r="N19" s="38">
        <f>12*(N18/B23)/43560</f>
        <v>0.8264462809917356</v>
      </c>
      <c r="O19" s="33" t="s">
        <v>67</v>
      </c>
      <c r="P19" s="8"/>
    </row>
    <row r="20" spans="1:16" ht="12.75">
      <c r="A20" s="14" t="s">
        <v>3</v>
      </c>
      <c r="B20" s="14" t="s">
        <v>3</v>
      </c>
      <c r="C20" s="11" t="s">
        <v>3</v>
      </c>
      <c r="D20" s="74"/>
      <c r="E20" s="11" t="s">
        <v>3</v>
      </c>
      <c r="F20" s="11" t="s">
        <v>3</v>
      </c>
      <c r="G20" s="6"/>
      <c r="H20" s="25" t="s">
        <v>64</v>
      </c>
      <c r="I20" s="6"/>
      <c r="J20" s="6"/>
      <c r="L20" s="14"/>
      <c r="M20" s="60" t="s">
        <v>66</v>
      </c>
      <c r="N20" s="38">
        <f>(+N19+0.4*B26+((N19+0.4*B26)^2-4*(0.04*B26^2-0.8*N19*B26))^0.5)/2</f>
        <v>1.679009931581771</v>
      </c>
      <c r="O20" s="33" t="s">
        <v>62</v>
      </c>
      <c r="P20" s="8"/>
    </row>
    <row r="21" spans="1:16" ht="15.75" thickBot="1">
      <c r="A21" s="24" t="s">
        <v>27</v>
      </c>
      <c r="B21" s="6"/>
      <c r="C21" s="6"/>
      <c r="D21" s="75"/>
      <c r="E21" s="6"/>
      <c r="F21" s="6"/>
      <c r="G21" s="6"/>
      <c r="H21" s="25" t="s">
        <v>64</v>
      </c>
      <c r="M21" s="34" t="s">
        <v>61</v>
      </c>
      <c r="N21" s="38">
        <f>+N18/(24*3600)</f>
        <v>0.052083333333333336</v>
      </c>
      <c r="O21" s="33" t="s">
        <v>56</v>
      </c>
      <c r="P21" s="8"/>
    </row>
    <row r="22" spans="1:16" ht="15" customHeight="1" thickBot="1">
      <c r="A22" s="6"/>
      <c r="B22" s="6"/>
      <c r="C22" s="6"/>
      <c r="D22" s="32"/>
      <c r="E22" s="61" t="s">
        <v>57</v>
      </c>
      <c r="F22" s="62"/>
      <c r="G22" s="63"/>
      <c r="H22" s="76" t="s">
        <v>79</v>
      </c>
      <c r="I22" s="69"/>
      <c r="J22" s="69"/>
      <c r="K22" s="69"/>
      <c r="L22" s="69"/>
      <c r="M22" s="69"/>
      <c r="N22" s="69"/>
      <c r="O22" s="71"/>
      <c r="P22" s="21"/>
    </row>
    <row r="23" spans="1:16" ht="13.5" thickBot="1">
      <c r="A23" s="28" t="s">
        <v>12</v>
      </c>
      <c r="B23" s="5">
        <v>1.5</v>
      </c>
      <c r="C23" s="6" t="s">
        <v>17</v>
      </c>
      <c r="D23" s="74"/>
      <c r="E23" s="64" t="s">
        <v>58</v>
      </c>
      <c r="F23" s="40"/>
      <c r="G23" s="65"/>
      <c r="H23" s="77" t="s">
        <v>75</v>
      </c>
      <c r="I23" s="18">
        <v>0.1</v>
      </c>
      <c r="J23" s="18">
        <v>0.3</v>
      </c>
      <c r="K23" s="18">
        <v>0.35</v>
      </c>
      <c r="L23" s="18">
        <v>0.4</v>
      </c>
      <c r="M23" s="18">
        <v>0.45</v>
      </c>
      <c r="N23" s="18">
        <v>0.5</v>
      </c>
      <c r="O23" s="72"/>
      <c r="P23" s="21"/>
    </row>
    <row r="24" spans="1:16" ht="13.5" thickBot="1">
      <c r="A24" s="28" t="s">
        <v>13</v>
      </c>
      <c r="B24" s="5">
        <v>90</v>
      </c>
      <c r="C24" s="6" t="s">
        <v>3</v>
      </c>
      <c r="D24" s="75"/>
      <c r="E24" s="80" t="s">
        <v>68</v>
      </c>
      <c r="F24" s="40"/>
      <c r="G24" s="65"/>
      <c r="H24" s="78" t="s">
        <v>76</v>
      </c>
      <c r="I24" s="39">
        <v>2.55323</v>
      </c>
      <c r="J24" s="39">
        <v>2.46532</v>
      </c>
      <c r="K24" s="39">
        <v>2.41896</v>
      </c>
      <c r="L24" s="39">
        <v>2.36409</v>
      </c>
      <c r="M24" s="39">
        <v>2.29238</v>
      </c>
      <c r="N24" s="39">
        <v>2.20282</v>
      </c>
      <c r="O24" s="72"/>
      <c r="P24" s="21"/>
    </row>
    <row r="25" spans="1:16" ht="13.5" thickBot="1">
      <c r="A25" s="28" t="s">
        <v>16</v>
      </c>
      <c r="B25" s="5">
        <v>0.1</v>
      </c>
      <c r="C25" s="6" t="s">
        <v>9</v>
      </c>
      <c r="D25" s="74"/>
      <c r="E25" s="64" t="s">
        <v>69</v>
      </c>
      <c r="F25" s="40"/>
      <c r="G25" s="65"/>
      <c r="H25" s="78" t="s">
        <v>77</v>
      </c>
      <c r="I25" s="39">
        <v>-0.61512</v>
      </c>
      <c r="J25" s="39">
        <v>-0.62257</v>
      </c>
      <c r="K25" s="39">
        <v>-0.61594</v>
      </c>
      <c r="L25" s="39">
        <v>-0.59857</v>
      </c>
      <c r="M25" s="39">
        <v>-0.57005</v>
      </c>
      <c r="N25" s="39">
        <v>-0.51599</v>
      </c>
      <c r="O25" s="72"/>
      <c r="P25" s="21"/>
    </row>
    <row r="26" spans="1:16" ht="13.5" thickBot="1">
      <c r="A26" s="9" t="s">
        <v>14</v>
      </c>
      <c r="B26" s="11">
        <f>1000/B24-10</f>
        <v>1.1111111111111107</v>
      </c>
      <c r="C26" s="6" t="s">
        <v>10</v>
      </c>
      <c r="D26" s="75"/>
      <c r="E26" s="66" t="s">
        <v>70</v>
      </c>
      <c r="F26" s="67"/>
      <c r="G26" s="68"/>
      <c r="H26" s="79" t="s">
        <v>78</v>
      </c>
      <c r="I26" s="70">
        <v>-0.16403</v>
      </c>
      <c r="J26" s="70">
        <v>-0.11657</v>
      </c>
      <c r="K26" s="70">
        <v>-0.0882</v>
      </c>
      <c r="L26" s="70">
        <v>-0.05621</v>
      </c>
      <c r="M26" s="70">
        <v>-0.02281</v>
      </c>
      <c r="N26" s="70">
        <v>-0.01259</v>
      </c>
      <c r="O26" s="73"/>
      <c r="P26" s="21"/>
    </row>
    <row r="27" spans="1:16" ht="12.75">
      <c r="A27" s="9" t="s">
        <v>15</v>
      </c>
      <c r="B27" s="11">
        <f>+B26*0.2</f>
        <v>0.22222222222222215</v>
      </c>
      <c r="C27" s="6" t="s">
        <v>10</v>
      </c>
      <c r="D27" s="74"/>
      <c r="E27" s="6"/>
      <c r="F27" s="6"/>
      <c r="G27" s="6"/>
      <c r="H27" s="25" t="s">
        <v>64</v>
      </c>
      <c r="I27" s="6"/>
      <c r="J27" s="25" t="s">
        <v>3</v>
      </c>
      <c r="K27" s="6"/>
      <c r="L27" s="6"/>
      <c r="M27" s="6"/>
      <c r="N27" s="14" t="s">
        <v>3</v>
      </c>
      <c r="O27" s="6"/>
      <c r="P27" s="6"/>
    </row>
    <row r="28" spans="1:16" ht="12.75">
      <c r="A28" s="9"/>
      <c r="B28" s="12"/>
      <c r="C28" s="6"/>
      <c r="D28" s="75"/>
      <c r="E28" s="6"/>
      <c r="F28" s="6"/>
      <c r="G28" s="6"/>
      <c r="H28" s="25" t="s">
        <v>64</v>
      </c>
      <c r="I28" s="6"/>
      <c r="J28" s="25" t="s">
        <v>3</v>
      </c>
      <c r="K28" s="6"/>
      <c r="L28" s="14" t="s">
        <v>18</v>
      </c>
      <c r="M28" s="6"/>
      <c r="N28" s="25" t="s">
        <v>25</v>
      </c>
      <c r="O28" s="25" t="s">
        <v>25</v>
      </c>
      <c r="P28" s="6"/>
    </row>
    <row r="29" spans="1:16" ht="12.75">
      <c r="A29" s="25" t="s">
        <v>2</v>
      </c>
      <c r="B29" s="14" t="s">
        <v>0</v>
      </c>
      <c r="C29" s="14" t="s">
        <v>1</v>
      </c>
      <c r="D29" s="44" t="s">
        <v>32</v>
      </c>
      <c r="E29" s="45" t="s">
        <v>6</v>
      </c>
      <c r="F29" s="45" t="s">
        <v>7</v>
      </c>
      <c r="G29" s="46" t="s">
        <v>8</v>
      </c>
      <c r="H29" s="46" t="s">
        <v>4</v>
      </c>
      <c r="I29" s="14" t="s">
        <v>5</v>
      </c>
      <c r="J29" s="25" t="s">
        <v>11</v>
      </c>
      <c r="K29" s="14" t="s">
        <v>24</v>
      </c>
      <c r="L29" s="14" t="s">
        <v>19</v>
      </c>
      <c r="M29" s="14" t="s">
        <v>23</v>
      </c>
      <c r="N29" s="25" t="s">
        <v>19</v>
      </c>
      <c r="O29" s="25" t="s">
        <v>19</v>
      </c>
      <c r="P29" s="6"/>
    </row>
    <row r="30" spans="1:16" ht="12.75">
      <c r="A30" s="14" t="s">
        <v>10</v>
      </c>
      <c r="B30" s="14"/>
      <c r="C30" s="14" t="s">
        <v>10</v>
      </c>
      <c r="D30" s="47"/>
      <c r="E30" s="42"/>
      <c r="F30" s="42"/>
      <c r="G30" s="48"/>
      <c r="H30" s="48"/>
      <c r="I30" s="14" t="s">
        <v>21</v>
      </c>
      <c r="J30" s="25" t="s">
        <v>73</v>
      </c>
      <c r="K30" s="6"/>
      <c r="L30" s="14" t="s">
        <v>22</v>
      </c>
      <c r="M30" s="6"/>
      <c r="N30" s="25" t="s">
        <v>22</v>
      </c>
      <c r="O30" s="25" t="s">
        <v>26</v>
      </c>
      <c r="P30" s="6"/>
    </row>
    <row r="31" spans="1:16" ht="12.75">
      <c r="A31" s="14"/>
      <c r="B31" s="14"/>
      <c r="C31" s="14"/>
      <c r="D31" s="47" t="s">
        <v>30</v>
      </c>
      <c r="E31" s="21"/>
      <c r="F31" s="21"/>
      <c r="G31" s="54"/>
      <c r="H31" s="48"/>
      <c r="I31" s="14"/>
      <c r="J31" s="25" t="s">
        <v>20</v>
      </c>
      <c r="K31" s="6"/>
      <c r="L31" s="6"/>
      <c r="M31" s="6"/>
      <c r="N31" s="6"/>
      <c r="O31" s="14"/>
      <c r="P31" s="6"/>
    </row>
    <row r="32" spans="1:16" ht="12.75">
      <c r="A32" s="14">
        <v>2.5</v>
      </c>
      <c r="B32" s="11">
        <f>+$B$27/A32</f>
        <v>0.08888888888888886</v>
      </c>
      <c r="C32" s="11">
        <f>+(A32-0.2*$B$26)^2/(A32+0.8*$B$26)</f>
        <v>1.5309653916211294</v>
      </c>
      <c r="D32" s="49">
        <f aca="true" t="shared" si="9" ref="D32:D38">IF(B32&lt;0.1,1,IF(B32&lt;0.3,2,IF(B32&lt;0.35,3,IF(B32&lt;0.4,4,IF(B32&lt;0.45,5,IF(B32&lt;0.5,6,7))))))</f>
        <v>1</v>
      </c>
      <c r="E32" s="43">
        <f aca="true" t="shared" si="10" ref="E32:E38">IF(D32=1,I$24,IF(D32=2,J$24+(I$24-J$24)*(0.3-B32)/0.2,IF(D32=3,K$24+(J$24-K$24)*(0.35-B32)/0.05,IF(D32=4,L$24+(K$24-L$24)*(0.4-B32)/0.05,IF(D32=5,M$24+(L$24-M$24)*(0.45-B32)/0.05,IF(D32=6,N$24+(M$24-N$24)*(0.5-B32)/0.05,IF(D32=7,N$24,-999)))))))</f>
        <v>2.55323</v>
      </c>
      <c r="F32" s="43">
        <f aca="true" t="shared" si="11" ref="F32:F38">IF(D32=1,I$25,IF(D32=2,J$25+(I$25-J$25)*(0.3-B32)/0.2,IF(D32=3,K$25+(J$25-K$25)*(0.35-B32)/0.05,IF(D32=4,L$25+(K$25-L$25)*(0.4-B32)/0.05,IF(D32=5,M$25+(L$25-M$25)*(0.45-B32)/0.05,IF(D32=6,N$25+(M$25-N$25)*(0.5-B32)/0.05,IF(D32=7,N$25,-999)))))))</f>
        <v>-0.61512</v>
      </c>
      <c r="G32" s="55">
        <f aca="true" t="shared" si="12" ref="G32:G38">IF(D32=1,I$26,IF(D32=2,J$26+(I$26-J$26)*(0.3-B32)/0.2,IF(D32=3,K$26+(J$26-K$26)*(0.35-B32)/0.05,IF(D32=4,L$26+(K$26-L$26)*(0.4-B32)/0.05,IF(D32=5,M$26+(L$26-M$26)*(0.45-B32)/0.05,IF(D32=6,N$26+(M$26-N$26)*(0.5-B32)/0.05,IF(D32=7,N$26,-999)))))))</f>
        <v>-0.16403</v>
      </c>
      <c r="H32" s="50">
        <f aca="true" t="shared" si="13" ref="H32:H38">10^(E32+F32*LOG($B$25)+G32*(LOG($B$25)*LOG($B$25)))</f>
        <v>1009.996805121106</v>
      </c>
      <c r="I32" s="14">
        <f>+$B$23/640</f>
        <v>0.00234375</v>
      </c>
      <c r="J32" s="29">
        <f aca="true" t="shared" si="14" ref="J32:J38">+C32*H32*I32</f>
        <v>3.6240706741132587</v>
      </c>
      <c r="K32" s="19">
        <f>+J13/J32</f>
        <v>0.214534891862128</v>
      </c>
      <c r="L32" s="19">
        <f aca="true" t="shared" si="15" ref="L32:L38">+C32*$B$23/12</f>
        <v>0.19137067395264118</v>
      </c>
      <c r="M32" s="19">
        <f>0.682-1.43*K32+1.64*K32^2-0.804*K32^3</f>
        <v>0.44275775664335537</v>
      </c>
      <c r="N32" s="30">
        <f>+L32*M32</f>
        <v>0.08473085028659841</v>
      </c>
      <c r="O32" s="31">
        <f>+N32*43560</f>
        <v>3690.8758384842267</v>
      </c>
      <c r="P32" s="32" t="str">
        <f>IF(O32&lt;$N$18,"#"," ")</f>
        <v>#</v>
      </c>
    </row>
    <row r="33" spans="1:16" ht="12.75">
      <c r="A33" s="14">
        <v>3.3</v>
      </c>
      <c r="B33" s="11">
        <f aca="true" t="shared" si="16" ref="B33:B38">+$B$27/A33</f>
        <v>0.06734006734006732</v>
      </c>
      <c r="C33" s="11">
        <f aca="true" t="shared" si="17" ref="C33:C38">+(A33-0.2*$B$26)^2/(A33+0.8*$B$26)</f>
        <v>2.261391099322134</v>
      </c>
      <c r="D33" s="49">
        <f t="shared" si="9"/>
        <v>1</v>
      </c>
      <c r="E33" s="43">
        <f t="shared" si="10"/>
        <v>2.55323</v>
      </c>
      <c r="F33" s="43">
        <f t="shared" si="11"/>
        <v>-0.61512</v>
      </c>
      <c r="G33" s="55">
        <f t="shared" si="12"/>
        <v>-0.16403</v>
      </c>
      <c r="H33" s="50">
        <f t="shared" si="13"/>
        <v>1009.996805121106</v>
      </c>
      <c r="I33" s="14">
        <f aca="true" t="shared" si="18" ref="I33:I38">+$B$23/640</f>
        <v>0.00234375</v>
      </c>
      <c r="J33" s="29">
        <f t="shared" si="14"/>
        <v>5.353119809635924</v>
      </c>
      <c r="K33" s="19">
        <f aca="true" t="shared" si="19" ref="K33:K38">+J14/J33</f>
        <v>0.2748671898207271</v>
      </c>
      <c r="L33" s="19">
        <f t="shared" si="15"/>
        <v>0.2826738874152667</v>
      </c>
      <c r="M33" s="19">
        <f aca="true" t="shared" si="20" ref="M33:M38">0.682-1.43*K33+1.64*K33^2-0.804*K33^3</f>
        <v>0.39614867907688095</v>
      </c>
      <c r="N33" s="30">
        <f aca="true" t="shared" si="21" ref="N33:N38">+L33*M33</f>
        <v>0.11198088710908487</v>
      </c>
      <c r="O33" s="31">
        <f aca="true" t="shared" si="22" ref="O33:O38">+N33*43560</f>
        <v>4877.887442471737</v>
      </c>
      <c r="P33" s="32" t="str">
        <f aca="true" t="shared" si="23" ref="P33:P38">IF(O33&lt;$N$18,"#"," ")</f>
        <v> </v>
      </c>
    </row>
    <row r="34" spans="1:16" ht="12.75">
      <c r="A34" s="14">
        <v>4.1</v>
      </c>
      <c r="B34" s="11">
        <f t="shared" si="16"/>
        <v>0.054200542005420044</v>
      </c>
      <c r="C34" s="11">
        <f t="shared" si="17"/>
        <v>3.014130165800544</v>
      </c>
      <c r="D34" s="49">
        <f t="shared" si="9"/>
        <v>1</v>
      </c>
      <c r="E34" s="43">
        <f t="shared" si="10"/>
        <v>2.55323</v>
      </c>
      <c r="F34" s="43">
        <f t="shared" si="11"/>
        <v>-0.61512</v>
      </c>
      <c r="G34" s="55">
        <f t="shared" si="12"/>
        <v>-0.16403</v>
      </c>
      <c r="H34" s="50">
        <f t="shared" si="13"/>
        <v>1009.996805121106</v>
      </c>
      <c r="I34" s="14">
        <f t="shared" si="18"/>
        <v>0.00234375</v>
      </c>
      <c r="J34" s="29">
        <f t="shared" si="14"/>
        <v>7.134988682057107</v>
      </c>
      <c r="K34" s="19">
        <f t="shared" si="19"/>
        <v>0.32016561763283485</v>
      </c>
      <c r="L34" s="19">
        <f t="shared" si="15"/>
        <v>0.376766270725068</v>
      </c>
      <c r="M34" s="19">
        <f t="shared" si="20"/>
        <v>0.3658866451613591</v>
      </c>
      <c r="N34" s="30">
        <f t="shared" si="21"/>
        <v>0.1378537468055515</v>
      </c>
      <c r="O34" s="31">
        <f t="shared" si="22"/>
        <v>6004.909210849824</v>
      </c>
      <c r="P34" s="32" t="str">
        <f t="shared" si="23"/>
        <v> </v>
      </c>
    </row>
    <row r="35" spans="1:16" ht="12.75">
      <c r="A35" s="14">
        <v>4.8</v>
      </c>
      <c r="B35" s="11">
        <f t="shared" si="16"/>
        <v>0.04629629629629629</v>
      </c>
      <c r="C35" s="11">
        <f t="shared" si="17"/>
        <v>3.683680555555555</v>
      </c>
      <c r="D35" s="49">
        <f t="shared" si="9"/>
        <v>1</v>
      </c>
      <c r="E35" s="43">
        <f t="shared" si="10"/>
        <v>2.55323</v>
      </c>
      <c r="F35" s="43">
        <f t="shared" si="11"/>
        <v>-0.61512</v>
      </c>
      <c r="G35" s="55">
        <f t="shared" si="12"/>
        <v>-0.16403</v>
      </c>
      <c r="H35" s="50">
        <f t="shared" si="13"/>
        <v>1009.996805121106</v>
      </c>
      <c r="I35" s="14">
        <f t="shared" si="18"/>
        <v>0.00234375</v>
      </c>
      <c r="J35" s="29">
        <f t="shared" si="14"/>
        <v>8.719934981713713</v>
      </c>
      <c r="K35" s="19">
        <f t="shared" si="19"/>
        <v>0.35144068071600865</v>
      </c>
      <c r="L35" s="19">
        <f t="shared" si="15"/>
        <v>0.46046006944444445</v>
      </c>
      <c r="M35" s="19">
        <f t="shared" si="20"/>
        <v>0.34709819943417364</v>
      </c>
      <c r="N35" s="30">
        <f t="shared" si="21"/>
        <v>0.15982486101550122</v>
      </c>
      <c r="O35" s="31">
        <f t="shared" si="22"/>
        <v>6961.970945835234</v>
      </c>
      <c r="P35" s="32" t="str">
        <f t="shared" si="23"/>
        <v> </v>
      </c>
    </row>
    <row r="36" spans="1:16" ht="12.75">
      <c r="A36" s="14">
        <v>5.5</v>
      </c>
      <c r="B36" s="11">
        <f t="shared" si="16"/>
        <v>0.040404040404040394</v>
      </c>
      <c r="C36" s="11">
        <f t="shared" si="17"/>
        <v>4.359903381642512</v>
      </c>
      <c r="D36" s="49">
        <f t="shared" si="9"/>
        <v>1</v>
      </c>
      <c r="E36" s="43">
        <f t="shared" si="10"/>
        <v>2.55323</v>
      </c>
      <c r="F36" s="43">
        <f t="shared" si="11"/>
        <v>-0.61512</v>
      </c>
      <c r="G36" s="55">
        <f t="shared" si="12"/>
        <v>-0.16403</v>
      </c>
      <c r="H36" s="50">
        <f t="shared" si="13"/>
        <v>1009.996805121106</v>
      </c>
      <c r="I36" s="14">
        <f t="shared" si="18"/>
        <v>0.00234375</v>
      </c>
      <c r="J36" s="29">
        <f t="shared" si="14"/>
        <v>10.320676139286665</v>
      </c>
      <c r="K36" s="19">
        <f t="shared" si="19"/>
        <v>0.3771162402783712</v>
      </c>
      <c r="L36" s="19">
        <f t="shared" si="15"/>
        <v>0.544987922705314</v>
      </c>
      <c r="M36" s="19">
        <f t="shared" si="20"/>
        <v>0.33283879849180537</v>
      </c>
      <c r="N36" s="30">
        <f t="shared" si="21"/>
        <v>0.18139312538578162</v>
      </c>
      <c r="O36" s="31">
        <f t="shared" si="22"/>
        <v>7901.484541804647</v>
      </c>
      <c r="P36" s="32" t="str">
        <f t="shared" si="23"/>
        <v> </v>
      </c>
    </row>
    <row r="37" spans="1:16" ht="12.75">
      <c r="A37" s="14">
        <v>6.1</v>
      </c>
      <c r="B37" s="11">
        <f t="shared" si="16"/>
        <v>0.036429872495446255</v>
      </c>
      <c r="C37" s="11">
        <f t="shared" si="17"/>
        <v>4.943313902137431</v>
      </c>
      <c r="D37" s="49">
        <f t="shared" si="9"/>
        <v>1</v>
      </c>
      <c r="E37" s="43">
        <f t="shared" si="10"/>
        <v>2.55323</v>
      </c>
      <c r="F37" s="43">
        <f t="shared" si="11"/>
        <v>-0.61512</v>
      </c>
      <c r="G37" s="55">
        <f t="shared" si="12"/>
        <v>-0.16403</v>
      </c>
      <c r="H37" s="50">
        <f t="shared" si="13"/>
        <v>1009.996805121106</v>
      </c>
      <c r="I37" s="14">
        <f t="shared" si="18"/>
        <v>0.00234375</v>
      </c>
      <c r="J37" s="29">
        <f t="shared" si="14"/>
        <v>11.701713862194264</v>
      </c>
      <c r="K37" s="19">
        <f t="shared" si="19"/>
        <v>0.39573023644700717</v>
      </c>
      <c r="L37" s="19">
        <f t="shared" si="15"/>
        <v>0.6179142377671789</v>
      </c>
      <c r="M37" s="19">
        <f t="shared" si="20"/>
        <v>0.32310799132494583</v>
      </c>
      <c r="N37" s="30">
        <f t="shared" si="21"/>
        <v>0.19965302817603817</v>
      </c>
      <c r="O37" s="31">
        <f t="shared" si="22"/>
        <v>8696.885907348222</v>
      </c>
      <c r="P37" s="32" t="str">
        <f t="shared" si="23"/>
        <v> </v>
      </c>
    </row>
    <row r="38" spans="1:16" ht="12.75">
      <c r="A38" s="14">
        <v>6.5</v>
      </c>
      <c r="B38" s="11">
        <f t="shared" si="16"/>
        <v>0.03418803418803418</v>
      </c>
      <c r="C38" s="11">
        <f t="shared" si="17"/>
        <v>5.333751044277361</v>
      </c>
      <c r="D38" s="51">
        <f t="shared" si="9"/>
        <v>1</v>
      </c>
      <c r="E38" s="52">
        <f t="shared" si="10"/>
        <v>2.55323</v>
      </c>
      <c r="F38" s="52">
        <f t="shared" si="11"/>
        <v>-0.61512</v>
      </c>
      <c r="G38" s="56">
        <f t="shared" si="12"/>
        <v>-0.16403</v>
      </c>
      <c r="H38" s="53">
        <f t="shared" si="13"/>
        <v>1009.996805121106</v>
      </c>
      <c r="I38" s="14">
        <f t="shared" si="18"/>
        <v>0.00234375</v>
      </c>
      <c r="J38" s="29">
        <f t="shared" si="14"/>
        <v>12.625948861011322</v>
      </c>
      <c r="K38" s="19">
        <f t="shared" si="19"/>
        <v>0.40673580124274195</v>
      </c>
      <c r="L38" s="19">
        <f t="shared" si="15"/>
        <v>0.6667188805346701</v>
      </c>
      <c r="M38" s="19">
        <f t="shared" si="20"/>
        <v>0.3175800838387986</v>
      </c>
      <c r="N38" s="30">
        <f t="shared" si="21"/>
        <v>0.21173663797711048</v>
      </c>
      <c r="O38" s="31">
        <f t="shared" si="22"/>
        <v>9223.247950282932</v>
      </c>
      <c r="P38" s="32" t="str">
        <f t="shared" si="23"/>
        <v> </v>
      </c>
    </row>
    <row r="39" spans="1:16" ht="8.25" customHeight="1">
      <c r="A39" s="11"/>
      <c r="B39" s="11"/>
      <c r="C39" s="11"/>
      <c r="D39" s="15"/>
      <c r="E39" s="16"/>
      <c r="F39" s="16"/>
      <c r="G39" s="16"/>
      <c r="H39" s="17"/>
      <c r="I39" s="14"/>
      <c r="J39" s="29"/>
      <c r="K39" s="19"/>
      <c r="L39" s="19"/>
      <c r="M39" s="19"/>
      <c r="N39" s="30"/>
      <c r="O39" s="31"/>
      <c r="P39" s="6"/>
    </row>
    <row r="40" spans="1:16" ht="12.75">
      <c r="A40" s="35" t="s">
        <v>63</v>
      </c>
      <c r="B40" s="11"/>
      <c r="C40" s="11"/>
      <c r="D40" s="15"/>
      <c r="E40" s="16"/>
      <c r="F40" s="16"/>
      <c r="G40" s="16"/>
      <c r="H40" s="17"/>
      <c r="I40" s="14"/>
      <c r="J40" s="29"/>
      <c r="K40" s="19"/>
      <c r="L40" s="19"/>
      <c r="M40" s="19"/>
      <c r="N40" s="30"/>
      <c r="O40" s="31"/>
      <c r="P40" s="6"/>
    </row>
    <row r="41" spans="1:16" ht="12.75">
      <c r="A41" s="36" t="s">
        <v>33</v>
      </c>
      <c r="B41" s="14"/>
      <c r="C41" s="12"/>
      <c r="D41" s="12"/>
      <c r="E41" s="11"/>
      <c r="F41" s="12"/>
      <c r="G41" s="12"/>
      <c r="H41" s="11"/>
      <c r="I41" s="16"/>
      <c r="J41" s="16"/>
      <c r="K41" s="6"/>
      <c r="L41" s="6"/>
      <c r="M41" s="6"/>
      <c r="N41" s="6"/>
      <c r="O41" s="6"/>
      <c r="P41" s="6"/>
    </row>
    <row r="42" spans="1:16" ht="12.75">
      <c r="A42" s="37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9" spans="1:10" ht="12.75">
      <c r="A49" s="1"/>
      <c r="B49" s="1"/>
      <c r="C49" s="3"/>
      <c r="D49" s="3"/>
      <c r="E49" s="2"/>
      <c r="F49" s="3"/>
      <c r="G49" s="3"/>
      <c r="H49" s="2"/>
      <c r="I49" s="4"/>
      <c r="J49" s="4"/>
    </row>
  </sheetData>
  <mergeCells count="3">
    <mergeCell ref="M5:O5"/>
    <mergeCell ref="M6:O6"/>
    <mergeCell ref="F8:O8"/>
  </mergeCells>
  <printOptions/>
  <pageMargins left="0.3" right="0.3" top="0.3" bottom="0.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Stormwater Engineering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ST-11   Worksheet #2</dc:title>
  <dc:subject>Knoxville BMP Manual</dc:subject>
  <dc:creator>KOliver</dc:creator>
  <cp:keywords/>
  <dc:description/>
  <cp:lastModifiedBy>KOliver</cp:lastModifiedBy>
  <cp:lastPrinted>2003-05-19T16:36:07Z</cp:lastPrinted>
  <dcterms:created xsi:type="dcterms:W3CDTF">2000-05-17T18:02:04Z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